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returamna.sharepoint.com/sites/Styret-Styrearbeid/Delte dokumenter/Styrearbeid/MNA styremøte/2024/26.6/Vedlegg/Alternative tomter/"/>
    </mc:Choice>
  </mc:AlternateContent>
  <xr:revisionPtr revIDLastSave="10" documentId="8_{CBFCAD91-2DE5-4ABE-B87C-1F351227B36C}" xr6:coauthVersionLast="47" xr6:coauthVersionMax="47" xr10:uidLastSave="{5C049A99-8EB1-4245-8D7F-9D9935523110}"/>
  <bookViews>
    <workbookView xWindow="-108" yWindow="-108" windowWidth="23256" windowHeight="12576" xr2:uid="{00000000-000D-0000-FFFF-FFFF00000000}"/>
  </bookViews>
  <sheets>
    <sheet name="Transport" sheetId="1" r:id="rId1"/>
    <sheet name="Grunnlag transport" sheetId="3" r:id="rId2"/>
    <sheet name="Helhe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C21" i="3"/>
  <c r="D17" i="3"/>
  <c r="C17" i="3"/>
  <c r="D13" i="3"/>
  <c r="C13" i="3"/>
  <c r="C9" i="3"/>
  <c r="J14" i="2"/>
  <c r="I14" i="2"/>
  <c r="G14" i="2"/>
  <c r="F14" i="2"/>
  <c r="D14" i="2"/>
  <c r="C26" i="1"/>
  <c r="G26" i="1" s="1"/>
  <c r="C27" i="1"/>
  <c r="C28" i="1"/>
  <c r="G28" i="1" s="1"/>
  <c r="C29" i="1"/>
  <c r="G29" i="1" s="1"/>
  <c r="C30" i="1"/>
  <c r="G30" i="1" s="1"/>
  <c r="C25" i="1"/>
  <c r="G25" i="1" s="1"/>
  <c r="C17" i="1"/>
  <c r="C13" i="1"/>
  <c r="I25" i="1" l="1"/>
  <c r="H27" i="1"/>
  <c r="P27" i="1" s="1"/>
  <c r="H25" i="1"/>
  <c r="M25" i="1" s="1"/>
  <c r="M27" i="1"/>
  <c r="G27" i="1"/>
  <c r="G32" i="1" s="1"/>
  <c r="I29" i="1"/>
  <c r="I28" i="1"/>
  <c r="P25" i="1"/>
  <c r="H30" i="1"/>
  <c r="H26" i="1"/>
  <c r="I27" i="1"/>
  <c r="D17" i="1"/>
  <c r="H29" i="1"/>
  <c r="I30" i="1"/>
  <c r="I26" i="1"/>
  <c r="D13" i="1"/>
  <c r="H28" i="1"/>
  <c r="G33" i="1" l="1"/>
  <c r="G34" i="1"/>
  <c r="I32" i="1"/>
  <c r="I34" i="1" s="1"/>
  <c r="H32" i="1"/>
  <c r="H34" i="1" s="1"/>
  <c r="M26" i="1"/>
  <c r="P26" i="1"/>
  <c r="P28" i="1"/>
  <c r="M28" i="1"/>
  <c r="M29" i="1"/>
  <c r="P29" i="1"/>
  <c r="M30" i="1"/>
  <c r="P30" i="1"/>
  <c r="H33" i="1" l="1"/>
  <c r="I33" i="1"/>
  <c r="C21" i="1" l="1"/>
  <c r="F26" i="1" s="1"/>
  <c r="C9" i="1"/>
  <c r="E29" i="1" s="1"/>
  <c r="E25" i="1" l="1"/>
  <c r="E27" i="1"/>
  <c r="F29" i="1"/>
  <c r="K29" i="1" s="1"/>
  <c r="E28" i="1"/>
  <c r="F30" i="1"/>
  <c r="E30" i="1"/>
  <c r="K30" i="1" s="1"/>
  <c r="E26" i="1"/>
  <c r="K26" i="1" s="1"/>
  <c r="F28" i="1"/>
  <c r="F25" i="1"/>
  <c r="F27" i="1"/>
  <c r="O29" i="1" l="1"/>
  <c r="Q29" i="1" s="1"/>
  <c r="L29" i="1"/>
  <c r="N29" i="1" s="1"/>
  <c r="O30" i="1"/>
  <c r="Q30" i="1" s="1"/>
  <c r="L30" i="1"/>
  <c r="N30" i="1" s="1"/>
  <c r="O26" i="1"/>
  <c r="Q26" i="1" s="1"/>
  <c r="L26" i="1"/>
  <c r="N26" i="1" s="1"/>
  <c r="K27" i="1"/>
  <c r="K28" i="1"/>
  <c r="K25" i="1"/>
  <c r="F32" i="1"/>
  <c r="E32" i="1"/>
  <c r="O27" i="1" l="1"/>
  <c r="Q27" i="1" s="1"/>
  <c r="L27" i="1"/>
  <c r="N27" i="1" s="1"/>
  <c r="O28" i="1"/>
  <c r="Q28" i="1" s="1"/>
  <c r="L28" i="1"/>
  <c r="N28" i="1" s="1"/>
  <c r="F34" i="1"/>
  <c r="F33" i="1"/>
  <c r="E34" i="1"/>
  <c r="E33" i="1"/>
  <c r="O25" i="1"/>
  <c r="Q25" i="1" s="1"/>
  <c r="L25" i="1"/>
  <c r="N25" i="1" s="1"/>
</calcChain>
</file>

<file path=xl/sharedStrings.xml><?xml version="1.0" encoding="utf-8"?>
<sst xmlns="http://schemas.openxmlformats.org/spreadsheetml/2006/main" count="87" uniqueCount="57">
  <si>
    <t>Avfallsmengde utgående</t>
  </si>
  <si>
    <t>Snittlass utgående</t>
  </si>
  <si>
    <t>Snittlass inngående husholdning</t>
  </si>
  <si>
    <t>Snittlass inngående næring</t>
  </si>
  <si>
    <t>andel næring</t>
  </si>
  <si>
    <t>Mengde husholdning</t>
  </si>
  <si>
    <t>Spillum</t>
  </si>
  <si>
    <t>km</t>
  </si>
  <si>
    <t>Skage</t>
  </si>
  <si>
    <t>Sandmoen</t>
  </si>
  <si>
    <t>Klinga</t>
  </si>
  <si>
    <t>Sævik</t>
  </si>
  <si>
    <t>Grong</t>
  </si>
  <si>
    <t>Namdalseid</t>
  </si>
  <si>
    <t>økt km husholdning</t>
  </si>
  <si>
    <t>Ändel husholdning henting</t>
  </si>
  <si>
    <t>snittlass inngående husholdning bringeordning</t>
  </si>
  <si>
    <t>Andel levert gvs</t>
  </si>
  <si>
    <t>mengder gvs</t>
  </si>
  <si>
    <t>snittlass kontainer fra gvs</t>
  </si>
  <si>
    <t>dieselforbruk pr km</t>
  </si>
  <si>
    <t>Drivstoff forbruk privatbil pr km</t>
  </si>
  <si>
    <t>økt km utgående</t>
  </si>
  <si>
    <t>Sum</t>
  </si>
  <si>
    <t>Forbruk diesel</t>
  </si>
  <si>
    <t>Co2 utslipp</t>
  </si>
  <si>
    <t>co2</t>
  </si>
  <si>
    <t>kostnad pr km lastebil</t>
  </si>
  <si>
    <t>Kostnad pr km privatbil</t>
  </si>
  <si>
    <t>Faktor økt km</t>
  </si>
  <si>
    <t>km faktor</t>
  </si>
  <si>
    <t>Reguleringsplan</t>
  </si>
  <si>
    <t>Avinor</t>
  </si>
  <si>
    <t>Statsforvalter</t>
  </si>
  <si>
    <t>Utvidelses muligheter</t>
  </si>
  <si>
    <t>Statens vegvesen/ fylkeskommune</t>
  </si>
  <si>
    <t>Geoteknikk</t>
  </si>
  <si>
    <t>Egnethet tomt</t>
  </si>
  <si>
    <t>Samfunnsøkonomi</t>
  </si>
  <si>
    <t>Bedriftsøkonomi</t>
  </si>
  <si>
    <t>Stormyra renovering</t>
  </si>
  <si>
    <t>Stormyra utvidelse</t>
  </si>
  <si>
    <t>Kolonne1</t>
  </si>
  <si>
    <t>Tidsaspekt</t>
  </si>
  <si>
    <t>Faktorer</t>
  </si>
  <si>
    <t>Pga stor usikkerhet til hvor det kjøres og hvordan det kjøres</t>
  </si>
  <si>
    <t>økt km næring</t>
  </si>
  <si>
    <t>økt km privat</t>
  </si>
  <si>
    <t>økt km kontainer fra gvs</t>
  </si>
  <si>
    <t>økt km lastebil</t>
  </si>
  <si>
    <t>økt co2 lastebil</t>
  </si>
  <si>
    <t>økt co2 personbil</t>
  </si>
  <si>
    <t>sum co2 (økt)</t>
  </si>
  <si>
    <t>kr lastebil (økning)</t>
  </si>
  <si>
    <t>kr privat (økning)</t>
  </si>
  <si>
    <t>Samfunnsøkonomi (økning)</t>
  </si>
  <si>
    <t>poeng merkostnad lastebil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</si>
</sst>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" fontId="0" fillId="0" borderId="0" xfId="2" applyNumberFormat="1" applyFont="1"/>
    <xf numFmtId="165" fontId="0" fillId="0" borderId="0" xfId="2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65" fontId="0" fillId="2" borderId="0" xfId="0" applyNumberFormat="1" applyFill="1"/>
    <xf numFmtId="0" fontId="2" fillId="0" borderId="0" xfId="0" applyFon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Bedriftsøkonomi - merkostnad (kr/år)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Transport!$A$24:$A$30</c:f>
              <c:strCache>
                <c:ptCount val="7"/>
                <c:pt idx="0">
                  <c:v>Spillum</c:v>
                </c:pt>
                <c:pt idx="1">
                  <c:v>Skage</c:v>
                </c:pt>
                <c:pt idx="2">
                  <c:v>Sandmoen</c:v>
                </c:pt>
                <c:pt idx="3">
                  <c:v>Klinga</c:v>
                </c:pt>
                <c:pt idx="4">
                  <c:v>Sævik</c:v>
                </c:pt>
                <c:pt idx="5">
                  <c:v>Grong</c:v>
                </c:pt>
                <c:pt idx="6">
                  <c:v>Namdalseid</c:v>
                </c:pt>
              </c:strCache>
            </c:strRef>
          </c:cat>
          <c:val>
            <c:numRef>
              <c:f>Transport!$O$24:$O$30</c:f>
              <c:numCache>
                <c:formatCode>_-* #\ ##0_-;\-* #\ ##0_-;_-* "-"??_-;_-@_-</c:formatCode>
                <c:ptCount val="7"/>
                <c:pt idx="0" formatCode="General">
                  <c:v>0</c:v>
                </c:pt>
                <c:pt idx="1">
                  <c:v>3421875</c:v>
                </c:pt>
                <c:pt idx="2">
                  <c:v>2965625</c:v>
                </c:pt>
                <c:pt idx="3">
                  <c:v>1715625</c:v>
                </c:pt>
                <c:pt idx="4">
                  <c:v>1239062.5</c:v>
                </c:pt>
                <c:pt idx="5">
                  <c:v>10259375</c:v>
                </c:pt>
                <c:pt idx="6">
                  <c:v>7625000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D-477F-9BD9-53BA0850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5996080"/>
        <c:axId val="385997520"/>
      </c:barChart>
      <c:catAx>
        <c:axId val="38599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85997520"/>
        <c:crosses val="autoZero"/>
        <c:auto val="1"/>
        <c:lblAlgn val="ctr"/>
        <c:lblOffset val="100"/>
        <c:noMultiLvlLbl val="0"/>
      </c:catAx>
      <c:valAx>
        <c:axId val="38599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859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Samfunnsøkonomi - merkostnad</a:t>
            </a:r>
            <a:r>
              <a:rPr lang="nb-NO" baseline="0"/>
              <a:t> (</a:t>
            </a:r>
            <a:r>
              <a:rPr lang="nb-NO"/>
              <a:t>kr/år)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Transport!$A$24:$A$30</c:f>
              <c:strCache>
                <c:ptCount val="7"/>
                <c:pt idx="0">
                  <c:v>Spillum</c:v>
                </c:pt>
                <c:pt idx="1">
                  <c:v>Skage</c:v>
                </c:pt>
                <c:pt idx="2">
                  <c:v>Sandmoen</c:v>
                </c:pt>
                <c:pt idx="3">
                  <c:v>Klinga</c:v>
                </c:pt>
                <c:pt idx="4">
                  <c:v>Sævik</c:v>
                </c:pt>
                <c:pt idx="5">
                  <c:v>Grong</c:v>
                </c:pt>
                <c:pt idx="6">
                  <c:v>Namdalseid</c:v>
                </c:pt>
              </c:strCache>
            </c:strRef>
          </c:cat>
          <c:val>
            <c:numRef>
              <c:f>Transport!$Q$24:$Q$30</c:f>
              <c:numCache>
                <c:formatCode>_-* #\ ##0_-;\-* #\ ##0_-;_-* "-"??_-;_-@_-</c:formatCode>
                <c:ptCount val="7"/>
                <c:pt idx="0" formatCode="General">
                  <c:v>0</c:v>
                </c:pt>
                <c:pt idx="1">
                  <c:v>4546875</c:v>
                </c:pt>
                <c:pt idx="2">
                  <c:v>3940625</c:v>
                </c:pt>
                <c:pt idx="3">
                  <c:v>2390625</c:v>
                </c:pt>
                <c:pt idx="4">
                  <c:v>1726562.5</c:v>
                </c:pt>
                <c:pt idx="5">
                  <c:v>13934375</c:v>
                </c:pt>
                <c:pt idx="6">
                  <c:v>10625000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9-44C0-AC3B-A6552694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4122368"/>
        <c:axId val="384123328"/>
      </c:barChart>
      <c:catAx>
        <c:axId val="384122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84123328"/>
        <c:crosses val="autoZero"/>
        <c:auto val="1"/>
        <c:lblAlgn val="ctr"/>
        <c:lblOffset val="100"/>
        <c:noMultiLvlLbl val="0"/>
      </c:catAx>
      <c:valAx>
        <c:axId val="3841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8412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Økt Co2 utslipp i tonn/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Transport!$A$24:$A$30</c:f>
              <c:strCache>
                <c:ptCount val="7"/>
                <c:pt idx="0">
                  <c:v>Spillum</c:v>
                </c:pt>
                <c:pt idx="1">
                  <c:v>Skage</c:v>
                </c:pt>
                <c:pt idx="2">
                  <c:v>Sandmoen</c:v>
                </c:pt>
                <c:pt idx="3">
                  <c:v>Klinga</c:v>
                </c:pt>
                <c:pt idx="4">
                  <c:v>Sævik</c:v>
                </c:pt>
                <c:pt idx="5">
                  <c:v>Grong</c:v>
                </c:pt>
                <c:pt idx="6">
                  <c:v>Namdalseid</c:v>
                </c:pt>
              </c:strCache>
            </c:strRef>
          </c:cat>
          <c:val>
            <c:numRef>
              <c:f>Transport!$N$24:$N$30</c:f>
              <c:numCache>
                <c:formatCode>_-* #\ ##0_-;\-* #\ ##0_-;_-* "-"??_-;_-@_-</c:formatCode>
                <c:ptCount val="7"/>
                <c:pt idx="0" formatCode="General">
                  <c:v>0</c:v>
                </c:pt>
                <c:pt idx="1">
                  <c:v>138.34875</c:v>
                </c:pt>
                <c:pt idx="2">
                  <c:v>119.90225</c:v>
                </c:pt>
                <c:pt idx="3">
                  <c:v>72.182249999999996</c:v>
                </c:pt>
                <c:pt idx="4">
                  <c:v>52.131625</c:v>
                </c:pt>
                <c:pt idx="5">
                  <c:v>422.46574999999996</c:v>
                </c:pt>
                <c:pt idx="6">
                  <c:v>320.81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3-4209-9031-3CA53980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1504784"/>
        <c:axId val="2121508624"/>
      </c:barChart>
      <c:catAx>
        <c:axId val="2121504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1508624"/>
        <c:crosses val="autoZero"/>
        <c:auto val="1"/>
        <c:lblAlgn val="ctr"/>
        <c:lblOffset val="100"/>
        <c:noMultiLvlLbl val="0"/>
      </c:catAx>
      <c:valAx>
        <c:axId val="212150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15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Vurdering tomtealternativer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Helhet!$C$3:$J$3</c:f>
              <c:strCache>
                <c:ptCount val="8"/>
                <c:pt idx="0">
                  <c:v>Spillum</c:v>
                </c:pt>
                <c:pt idx="1">
                  <c:v>Klinga</c:v>
                </c:pt>
                <c:pt idx="2">
                  <c:v>Sævik</c:v>
                </c:pt>
                <c:pt idx="3">
                  <c:v>Namdalseid</c:v>
                </c:pt>
                <c:pt idx="4">
                  <c:v>Skage</c:v>
                </c:pt>
                <c:pt idx="5">
                  <c:v>Stormyra utvidelse</c:v>
                </c:pt>
                <c:pt idx="6">
                  <c:v>Stormyra renovering</c:v>
                </c:pt>
                <c:pt idx="7">
                  <c:v>Grong</c:v>
                </c:pt>
              </c:strCache>
            </c:strRef>
          </c:cat>
          <c:val>
            <c:numRef>
              <c:f>Helhet!$C$14:$J$14</c:f>
              <c:numCache>
                <c:formatCode>0.0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7.5</c:v>
                </c:pt>
                <c:pt idx="3">
                  <c:v>5.25</c:v>
                </c:pt>
                <c:pt idx="4">
                  <c:v>8.25</c:v>
                </c:pt>
                <c:pt idx="5">
                  <c:v>0</c:v>
                </c:pt>
                <c:pt idx="6">
                  <c:v>4.5</c:v>
                </c:pt>
                <c:pt idx="7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E-4663-A9D4-57DE7FE64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1432496"/>
        <c:axId val="731432016"/>
      </c:barChart>
      <c:catAx>
        <c:axId val="73143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432016"/>
        <c:crosses val="autoZero"/>
        <c:auto val="1"/>
        <c:lblAlgn val="ctr"/>
        <c:lblOffset val="100"/>
        <c:noMultiLvlLbl val="0"/>
      </c:catAx>
      <c:valAx>
        <c:axId val="73143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3143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42</xdr:row>
      <xdr:rowOff>121178</xdr:rowOff>
    </xdr:from>
    <xdr:to>
      <xdr:col>5</xdr:col>
      <xdr:colOff>533400</xdr:colOff>
      <xdr:row>57</xdr:row>
      <xdr:rowOff>13933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943704-ADB3-020A-073F-81E1CE970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909637</xdr:colOff>
      <xdr:row>42</xdr:row>
      <xdr:rowOff>90487</xdr:rowOff>
    </xdr:from>
    <xdr:to>
      <xdr:col>12</xdr:col>
      <xdr:colOff>109537</xdr:colOff>
      <xdr:row>56</xdr:row>
      <xdr:rowOff>166687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1B60734-AE0B-9E9C-6642-758678417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528637</xdr:colOff>
      <xdr:row>42</xdr:row>
      <xdr:rowOff>80962</xdr:rowOff>
    </xdr:from>
    <xdr:to>
      <xdr:col>19</xdr:col>
      <xdr:colOff>33337</xdr:colOff>
      <xdr:row>56</xdr:row>
      <xdr:rowOff>157162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6578A35-D06D-2B9A-2572-213D212F5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14287</xdr:rowOff>
    </xdr:from>
    <xdr:to>
      <xdr:col>5</xdr:col>
      <xdr:colOff>219075</xdr:colOff>
      <xdr:row>29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52FA95-6EF3-9A14-A071-4CD7C16AB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67C009-0294-48CE-BE96-5E122C874ED7}" name="Tabell1" displayName="Tabell1" ref="B3:J14" totalsRowShown="0">
  <tableColumns count="9">
    <tableColumn id="1" xr3:uid="{9F6D2D6B-FA2C-463B-9EA7-4AC4A50976F4}" name="Kolonne1"/>
    <tableColumn id="2" xr3:uid="{454DDF57-7B79-49BF-90F7-ECB621A54B6F}" name="Spillum"/>
    <tableColumn id="3" xr3:uid="{0C25EC4C-ABAE-4D14-BBCB-CBA1E085C542}" name="Klinga"/>
    <tableColumn id="4" xr3:uid="{17E717AD-A8F6-4873-98EC-A3CE753137B4}" name="Sævik"/>
    <tableColumn id="5" xr3:uid="{DBA5858C-042C-4463-8B88-9D6D6A955942}" name="Namdalseid"/>
    <tableColumn id="6" xr3:uid="{0DC27096-AFA9-46EF-9DCC-106DF11AFED5}" name="Skage"/>
    <tableColumn id="7" xr3:uid="{3CAA2CC5-646C-4A4E-9674-F2E4F67081C3}" name="Stormyra utvidelse"/>
    <tableColumn id="8" xr3:uid="{E663A5A8-02F6-451C-8A94-F8C338DF04C1}" name="Stormyra renovering"/>
    <tableColumn id="9" xr3:uid="{1BC00B92-AB60-4CAA-BE1D-2ED09CA51D1A}" name="Gro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topLeftCell="A22" zoomScale="90" zoomScaleNormal="90" workbookViewId="0">
      <selection activeCell="A36" sqref="A36:XFD42"/>
    </sheetView>
  </sheetViews>
  <sheetFormatPr baseColWidth="10" defaultColWidth="9.21875" defaultRowHeight="14.4" x14ac:dyDescent="0.3"/>
  <cols>
    <col min="1" max="1" width="24" customWidth="1"/>
    <col min="3" max="3" width="10.44140625" bestFit="1" customWidth="1"/>
    <col min="5" max="5" width="18.5546875" bestFit="1" customWidth="1"/>
    <col min="6" max="6" width="13.77734375" bestFit="1" customWidth="1"/>
    <col min="7" max="7" width="15" bestFit="1" customWidth="1"/>
    <col min="8" max="8" width="12.77734375" bestFit="1" customWidth="1"/>
    <col min="9" max="9" width="11.44140625" bestFit="1" customWidth="1"/>
    <col min="15" max="15" width="17.109375" bestFit="1" customWidth="1"/>
    <col min="16" max="16" width="15.5546875" bestFit="1" customWidth="1"/>
    <col min="17" max="17" width="17.77734375" bestFit="1" customWidth="1"/>
  </cols>
  <sheetData>
    <row r="1" spans="1:4" hidden="1" x14ac:dyDescent="0.3">
      <c r="A1" s="10" t="s">
        <v>44</v>
      </c>
    </row>
    <row r="2" spans="1:4" hidden="1" x14ac:dyDescent="0.3"/>
    <row r="3" spans="1:4" hidden="1" x14ac:dyDescent="0.3">
      <c r="A3" t="s">
        <v>0</v>
      </c>
      <c r="C3" s="1">
        <v>30000</v>
      </c>
    </row>
    <row r="4" spans="1:4" hidden="1" x14ac:dyDescent="0.3">
      <c r="A4" t="s">
        <v>1</v>
      </c>
      <c r="C4">
        <v>20</v>
      </c>
    </row>
    <row r="5" spans="1:4" hidden="1" x14ac:dyDescent="0.3"/>
    <row r="6" spans="1:4" hidden="1" x14ac:dyDescent="0.3"/>
    <row r="7" spans="1:4" hidden="1" x14ac:dyDescent="0.3">
      <c r="A7" t="s">
        <v>2</v>
      </c>
      <c r="C7">
        <v>4</v>
      </c>
    </row>
    <row r="8" spans="1:4" hidden="1" x14ac:dyDescent="0.3">
      <c r="A8" t="s">
        <v>15</v>
      </c>
      <c r="C8" s="2">
        <v>0.25</v>
      </c>
    </row>
    <row r="9" spans="1:4" hidden="1" x14ac:dyDescent="0.3">
      <c r="A9" t="s">
        <v>5</v>
      </c>
      <c r="C9" s="3">
        <f>C3*C8</f>
        <v>7500</v>
      </c>
    </row>
    <row r="10" spans="1:4" hidden="1" x14ac:dyDescent="0.3">
      <c r="C10" s="3"/>
    </row>
    <row r="11" spans="1:4" hidden="1" x14ac:dyDescent="0.3">
      <c r="A11" t="s">
        <v>16</v>
      </c>
      <c r="C11" s="4">
        <v>0.2</v>
      </c>
    </row>
    <row r="12" spans="1:4" hidden="1" x14ac:dyDescent="0.3">
      <c r="A12" t="s">
        <v>17</v>
      </c>
      <c r="C12" s="2">
        <v>0.1</v>
      </c>
    </row>
    <row r="13" spans="1:4" hidden="1" x14ac:dyDescent="0.3">
      <c r="A13" t="s">
        <v>18</v>
      </c>
      <c r="C13" s="3">
        <f>C3*C12</f>
        <v>3000</v>
      </c>
      <c r="D13">
        <f>C13/C11</f>
        <v>15000</v>
      </c>
    </row>
    <row r="14" spans="1:4" hidden="1" x14ac:dyDescent="0.3"/>
    <row r="15" spans="1:4" hidden="1" x14ac:dyDescent="0.3">
      <c r="A15" t="s">
        <v>19</v>
      </c>
      <c r="C15" s="4">
        <v>3</v>
      </c>
    </row>
    <row r="16" spans="1:4" hidden="1" x14ac:dyDescent="0.3">
      <c r="A16" t="s">
        <v>17</v>
      </c>
      <c r="C16" s="2">
        <v>0.15</v>
      </c>
    </row>
    <row r="17" spans="1:18" hidden="1" x14ac:dyDescent="0.3">
      <c r="A17" t="s">
        <v>18</v>
      </c>
      <c r="C17" s="3">
        <f>C3*C16</f>
        <v>4500</v>
      </c>
      <c r="D17">
        <f>C17/C15</f>
        <v>1500</v>
      </c>
    </row>
    <row r="18" spans="1:18" hidden="1" x14ac:dyDescent="0.3"/>
    <row r="19" spans="1:18" hidden="1" x14ac:dyDescent="0.3">
      <c r="A19" t="s">
        <v>3</v>
      </c>
      <c r="C19">
        <v>3</v>
      </c>
    </row>
    <row r="20" spans="1:18" hidden="1" x14ac:dyDescent="0.3">
      <c r="A20" t="s">
        <v>4</v>
      </c>
      <c r="C20" s="2">
        <v>0.5</v>
      </c>
    </row>
    <row r="21" spans="1:18" hidden="1" x14ac:dyDescent="0.3">
      <c r="C21" s="3">
        <f>C3*C20</f>
        <v>15000</v>
      </c>
      <c r="O21">
        <v>10</v>
      </c>
    </row>
    <row r="23" spans="1:18" s="10" customFormat="1" x14ac:dyDescent="0.3">
      <c r="B23" s="10" t="s">
        <v>7</v>
      </c>
      <c r="C23" s="10" t="s">
        <v>30</v>
      </c>
      <c r="E23" s="10" t="s">
        <v>14</v>
      </c>
      <c r="F23" s="10" t="s">
        <v>46</v>
      </c>
      <c r="G23" s="10" t="s">
        <v>22</v>
      </c>
      <c r="H23" s="10" t="s">
        <v>47</v>
      </c>
      <c r="I23" s="10" t="s">
        <v>48</v>
      </c>
      <c r="K23" s="10" t="s">
        <v>49</v>
      </c>
      <c r="L23" s="10" t="s">
        <v>50</v>
      </c>
      <c r="M23" s="10" t="s">
        <v>51</v>
      </c>
      <c r="N23" s="10" t="s">
        <v>52</v>
      </c>
      <c r="O23" s="10" t="s">
        <v>53</v>
      </c>
      <c r="P23" s="10" t="s">
        <v>54</v>
      </c>
      <c r="Q23" s="10" t="s">
        <v>55</v>
      </c>
      <c r="R23" s="10" t="s">
        <v>56</v>
      </c>
    </row>
    <row r="24" spans="1:18" x14ac:dyDescent="0.3">
      <c r="A24" t="s">
        <v>6</v>
      </c>
      <c r="B24">
        <v>0</v>
      </c>
      <c r="C24">
        <v>0</v>
      </c>
      <c r="N24">
        <v>0</v>
      </c>
      <c r="O24">
        <v>0</v>
      </c>
      <c r="Q24">
        <v>0</v>
      </c>
      <c r="R24">
        <v>10</v>
      </c>
    </row>
    <row r="25" spans="1:18" x14ac:dyDescent="0.3">
      <c r="A25" t="s">
        <v>8</v>
      </c>
      <c r="B25">
        <v>15</v>
      </c>
      <c r="C25">
        <f>B25*$C$42</f>
        <v>7.5</v>
      </c>
      <c r="E25" s="1">
        <f t="shared" ref="E25:E30" si="0">($C$9/$C$7)*C25*2</f>
        <v>28125</v>
      </c>
      <c r="F25" s="1">
        <f t="shared" ref="F25:F30" si="1">($C$21/$C$19)*C25*2</f>
        <v>75000</v>
      </c>
      <c r="G25" s="1">
        <f>($C$3/$C$4)*C25</f>
        <v>11250</v>
      </c>
      <c r="H25" s="1">
        <f t="shared" ref="H25:H30" si="2">$C$13/$C$11*C25*2</f>
        <v>225000</v>
      </c>
      <c r="I25" s="1">
        <f t="shared" ref="I25:I30" si="3">$C$17/$C$15*C25*2</f>
        <v>22500</v>
      </c>
      <c r="K25" s="5">
        <f>E25+F25+G25+I25</f>
        <v>136875</v>
      </c>
      <c r="L25" s="5">
        <f>(K25*$D$37)/1000000</f>
        <v>109.77375000000001</v>
      </c>
      <c r="M25" s="5">
        <f>H25*$D$38/1000000</f>
        <v>28.574999999999999</v>
      </c>
      <c r="N25" s="5">
        <f>SUM(L25:M25)</f>
        <v>138.34875</v>
      </c>
      <c r="O25" s="5">
        <f>K25*$C$39</f>
        <v>3421875</v>
      </c>
      <c r="P25" s="5">
        <f>H25*$C$40</f>
        <v>1125000</v>
      </c>
      <c r="Q25" s="5">
        <f>O25+P25</f>
        <v>4546875</v>
      </c>
      <c r="R25">
        <v>5</v>
      </c>
    </row>
    <row r="26" spans="1:18" x14ac:dyDescent="0.3">
      <c r="A26" t="s">
        <v>9</v>
      </c>
      <c r="B26">
        <v>13</v>
      </c>
      <c r="C26">
        <f t="shared" ref="C26:C30" si="4">B26*$C$42</f>
        <v>6.5</v>
      </c>
      <c r="E26" s="1">
        <f t="shared" si="0"/>
        <v>24375</v>
      </c>
      <c r="F26" s="1">
        <f t="shared" si="1"/>
        <v>65000</v>
      </c>
      <c r="G26" s="1">
        <f>($C$3/$C$4)*C26</f>
        <v>9750</v>
      </c>
      <c r="H26" s="1">
        <f t="shared" si="2"/>
        <v>195000</v>
      </c>
      <c r="I26" s="1">
        <f t="shared" si="3"/>
        <v>19500</v>
      </c>
      <c r="K26" s="5">
        <f t="shared" ref="K26:K30" si="5">E26+F26+G26+I26</f>
        <v>118625</v>
      </c>
      <c r="L26" s="5">
        <f t="shared" ref="L26:L30" si="6">(K26*$D$37)/1000000</f>
        <v>95.137249999999995</v>
      </c>
      <c r="M26" s="5">
        <f t="shared" ref="M26:M30" si="7">H26*$D$38/1000000</f>
        <v>24.765000000000001</v>
      </c>
      <c r="N26" s="5">
        <f t="shared" ref="N26:N30" si="8">SUM(L26:M26)</f>
        <v>119.90225</v>
      </c>
      <c r="O26" s="5">
        <f t="shared" ref="O26:O30" si="9">K26*$C$39</f>
        <v>2965625</v>
      </c>
      <c r="P26" s="5">
        <f t="shared" ref="P26:P30" si="10">H26*$C$40</f>
        <v>975000</v>
      </c>
      <c r="Q26" s="5">
        <f t="shared" ref="Q26:Q30" si="11">O26+P26</f>
        <v>3940625</v>
      </c>
      <c r="R26">
        <v>5</v>
      </c>
    </row>
    <row r="27" spans="1:18" x14ac:dyDescent="0.3">
      <c r="A27" t="s">
        <v>10</v>
      </c>
      <c r="B27">
        <v>9</v>
      </c>
      <c r="C27">
        <f t="shared" si="4"/>
        <v>4.5</v>
      </c>
      <c r="E27" s="1">
        <f t="shared" si="0"/>
        <v>16875</v>
      </c>
      <c r="F27" s="1">
        <f t="shared" si="1"/>
        <v>45000</v>
      </c>
      <c r="G27" s="1">
        <f>($C$3/$C$4)*C27*-1</f>
        <v>-6750</v>
      </c>
      <c r="H27" s="1">
        <f t="shared" si="2"/>
        <v>135000</v>
      </c>
      <c r="I27" s="1">
        <f t="shared" si="3"/>
        <v>13500</v>
      </c>
      <c r="K27" s="5">
        <f t="shared" si="5"/>
        <v>68625</v>
      </c>
      <c r="L27" s="5">
        <f t="shared" si="6"/>
        <v>55.03725</v>
      </c>
      <c r="M27" s="5">
        <f t="shared" si="7"/>
        <v>17.145</v>
      </c>
      <c r="N27" s="5">
        <f t="shared" si="8"/>
        <v>72.182249999999996</v>
      </c>
      <c r="O27" s="5">
        <f t="shared" si="9"/>
        <v>1715625</v>
      </c>
      <c r="P27" s="5">
        <f t="shared" si="10"/>
        <v>675000</v>
      </c>
      <c r="Q27" s="5">
        <f t="shared" si="11"/>
        <v>2390625</v>
      </c>
      <c r="R27">
        <v>7.5</v>
      </c>
    </row>
    <row r="28" spans="1:18" x14ac:dyDescent="0.3">
      <c r="A28" t="s">
        <v>11</v>
      </c>
      <c r="B28">
        <v>6.5</v>
      </c>
      <c r="C28">
        <f t="shared" si="4"/>
        <v>3.25</v>
      </c>
      <c r="E28" s="1">
        <f t="shared" si="0"/>
        <v>12187.5</v>
      </c>
      <c r="F28" s="1">
        <f t="shared" si="1"/>
        <v>32500</v>
      </c>
      <c r="G28" s="1">
        <f>($C$3/$C$4)*C28*-1</f>
        <v>-4875</v>
      </c>
      <c r="H28" s="1">
        <f t="shared" si="2"/>
        <v>97500</v>
      </c>
      <c r="I28" s="1">
        <f t="shared" si="3"/>
        <v>9750</v>
      </c>
      <c r="K28" s="5">
        <f t="shared" si="5"/>
        <v>49562.5</v>
      </c>
      <c r="L28" s="5">
        <f t="shared" si="6"/>
        <v>39.749124999999999</v>
      </c>
      <c r="M28" s="5">
        <f t="shared" si="7"/>
        <v>12.3825</v>
      </c>
      <c r="N28" s="5">
        <f t="shared" si="8"/>
        <v>52.131625</v>
      </c>
      <c r="O28" s="5">
        <f t="shared" si="9"/>
        <v>1239062.5</v>
      </c>
      <c r="P28" s="5">
        <f t="shared" si="10"/>
        <v>487500</v>
      </c>
      <c r="Q28" s="5">
        <f t="shared" si="11"/>
        <v>1726562.5</v>
      </c>
      <c r="R28">
        <v>7.5</v>
      </c>
    </row>
    <row r="29" spans="1:18" x14ac:dyDescent="0.3">
      <c r="A29" t="s">
        <v>12</v>
      </c>
      <c r="B29">
        <v>49</v>
      </c>
      <c r="C29">
        <f t="shared" si="4"/>
        <v>24.5</v>
      </c>
      <c r="E29" s="1">
        <f t="shared" si="0"/>
        <v>91875</v>
      </c>
      <c r="F29" s="1">
        <f t="shared" si="1"/>
        <v>245000</v>
      </c>
      <c r="G29" s="1">
        <f>($C$3/$C$4)*C29*0</f>
        <v>0</v>
      </c>
      <c r="H29" s="1">
        <f t="shared" si="2"/>
        <v>735000</v>
      </c>
      <c r="I29" s="1">
        <f t="shared" si="3"/>
        <v>73500</v>
      </c>
      <c r="K29" s="5">
        <f t="shared" si="5"/>
        <v>410375</v>
      </c>
      <c r="L29" s="5">
        <f t="shared" si="6"/>
        <v>329.12074999999999</v>
      </c>
      <c r="M29" s="5">
        <f t="shared" si="7"/>
        <v>93.344999999999999</v>
      </c>
      <c r="N29" s="5">
        <f t="shared" si="8"/>
        <v>422.46574999999996</v>
      </c>
      <c r="O29" s="5">
        <f t="shared" si="9"/>
        <v>10259375</v>
      </c>
      <c r="P29" s="5">
        <f t="shared" si="10"/>
        <v>3675000</v>
      </c>
      <c r="Q29" s="5">
        <f t="shared" si="11"/>
        <v>13934375</v>
      </c>
      <c r="R29">
        <v>2.5</v>
      </c>
    </row>
    <row r="30" spans="1:18" x14ac:dyDescent="0.3">
      <c r="A30" t="s">
        <v>13</v>
      </c>
      <c r="B30">
        <v>40</v>
      </c>
      <c r="C30">
        <f t="shared" si="4"/>
        <v>20</v>
      </c>
      <c r="E30" s="1">
        <f t="shared" si="0"/>
        <v>75000</v>
      </c>
      <c r="F30" s="1">
        <f t="shared" si="1"/>
        <v>200000</v>
      </c>
      <c r="G30" s="1">
        <f>($C$3/$C$4)*C30*-1</f>
        <v>-30000</v>
      </c>
      <c r="H30" s="1">
        <f t="shared" si="2"/>
        <v>600000</v>
      </c>
      <c r="I30" s="1">
        <f t="shared" si="3"/>
        <v>60000</v>
      </c>
      <c r="K30" s="5">
        <f t="shared" si="5"/>
        <v>305000</v>
      </c>
      <c r="L30" s="5">
        <f t="shared" si="6"/>
        <v>244.61</v>
      </c>
      <c r="M30" s="5">
        <f t="shared" si="7"/>
        <v>76.2</v>
      </c>
      <c r="N30" s="5">
        <f t="shared" si="8"/>
        <v>320.81</v>
      </c>
      <c r="O30" s="5">
        <f t="shared" si="9"/>
        <v>7625000</v>
      </c>
      <c r="P30" s="5">
        <f t="shared" si="10"/>
        <v>3000000</v>
      </c>
      <c r="Q30" s="5">
        <f t="shared" si="11"/>
        <v>10625000</v>
      </c>
      <c r="R30">
        <v>2.5</v>
      </c>
    </row>
    <row r="32" spans="1:18" x14ac:dyDescent="0.3">
      <c r="A32" t="s">
        <v>23</v>
      </c>
      <c r="E32" s="5">
        <f>SUM(E25:E31)</f>
        <v>248437.5</v>
      </c>
      <c r="F32" s="5">
        <f t="shared" ref="F32:I32" si="12">SUM(F25:F31)</f>
        <v>662500</v>
      </c>
      <c r="G32" s="5">
        <f t="shared" si="12"/>
        <v>-20625</v>
      </c>
      <c r="H32" s="5">
        <f t="shared" si="12"/>
        <v>1987500</v>
      </c>
      <c r="I32" s="5">
        <f t="shared" si="12"/>
        <v>198750</v>
      </c>
    </row>
    <row r="33" spans="1:9" x14ac:dyDescent="0.3">
      <c r="A33" t="s">
        <v>24</v>
      </c>
      <c r="E33" s="5">
        <f>E32*$C$37</f>
        <v>99375</v>
      </c>
      <c r="F33" s="5">
        <f t="shared" ref="F33:I33" si="13">F32*$C$37</f>
        <v>265000</v>
      </c>
      <c r="G33" s="5">
        <f t="shared" si="13"/>
        <v>-8250</v>
      </c>
      <c r="H33" s="5">
        <f>H32*$C$38</f>
        <v>119250</v>
      </c>
      <c r="I33" s="5">
        <f t="shared" si="13"/>
        <v>79500</v>
      </c>
    </row>
    <row r="34" spans="1:9" x14ac:dyDescent="0.3">
      <c r="A34" t="s">
        <v>25</v>
      </c>
      <c r="E34" s="5">
        <f>E32*$D$37/1000000</f>
        <v>199.24687499999999</v>
      </c>
      <c r="F34" s="5">
        <f t="shared" ref="F34:I34" si="14">F32*$D$37/1000000</f>
        <v>531.32500000000005</v>
      </c>
      <c r="G34" s="5">
        <f t="shared" si="14"/>
        <v>-16.541250000000002</v>
      </c>
      <c r="H34" s="5">
        <f>H32*$D$38/1000000</f>
        <v>252.41249999999999</v>
      </c>
      <c r="I34" s="5">
        <f t="shared" si="14"/>
        <v>159.39750000000001</v>
      </c>
    </row>
    <row r="35" spans="1:9" x14ac:dyDescent="0.3">
      <c r="E35" s="5"/>
      <c r="F35" s="5"/>
      <c r="G35" s="5"/>
      <c r="H35" s="5"/>
      <c r="I35" s="5"/>
    </row>
    <row r="36" spans="1:9" hidden="1" x14ac:dyDescent="0.3">
      <c r="C36" t="s">
        <v>7</v>
      </c>
      <c r="D36" t="s">
        <v>26</v>
      </c>
    </row>
    <row r="37" spans="1:9" hidden="1" x14ac:dyDescent="0.3">
      <c r="A37" t="s">
        <v>20</v>
      </c>
      <c r="C37">
        <v>0.4</v>
      </c>
      <c r="D37">
        <v>802</v>
      </c>
    </row>
    <row r="38" spans="1:9" hidden="1" x14ac:dyDescent="0.3">
      <c r="A38" t="s">
        <v>21</v>
      </c>
      <c r="C38">
        <v>0.06</v>
      </c>
      <c r="D38">
        <v>127</v>
      </c>
    </row>
    <row r="39" spans="1:9" hidden="1" x14ac:dyDescent="0.3">
      <c r="A39" t="s">
        <v>27</v>
      </c>
      <c r="C39">
        <v>25</v>
      </c>
    </row>
    <row r="40" spans="1:9" hidden="1" x14ac:dyDescent="0.3">
      <c r="A40" t="s">
        <v>28</v>
      </c>
      <c r="C40">
        <v>5</v>
      </c>
    </row>
    <row r="41" spans="1:9" hidden="1" x14ac:dyDescent="0.3"/>
    <row r="42" spans="1:9" hidden="1" x14ac:dyDescent="0.3">
      <c r="A42" t="s">
        <v>29</v>
      </c>
      <c r="C42" s="2">
        <v>0.5</v>
      </c>
    </row>
    <row r="43" spans="1:9" x14ac:dyDescent="0.3">
      <c r="C43" s="2"/>
      <c r="D4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D6B9-E0C8-4AD2-996A-65F26B27FCA0}">
  <dimension ref="A1:F31"/>
  <sheetViews>
    <sheetView workbookViewId="0">
      <selection activeCell="F32" sqref="F32"/>
    </sheetView>
  </sheetViews>
  <sheetFormatPr baseColWidth="10" defaultRowHeight="14.4" x14ac:dyDescent="0.3"/>
  <sheetData>
    <row r="1" spans="1:4" x14ac:dyDescent="0.3">
      <c r="A1" s="10" t="s">
        <v>44</v>
      </c>
    </row>
    <row r="3" spans="1:4" x14ac:dyDescent="0.3">
      <c r="A3" t="s">
        <v>0</v>
      </c>
      <c r="C3" s="1">
        <v>30000</v>
      </c>
    </row>
    <row r="4" spans="1:4" x14ac:dyDescent="0.3">
      <c r="A4" t="s">
        <v>1</v>
      </c>
      <c r="C4">
        <v>20</v>
      </c>
    </row>
    <row r="7" spans="1:4" x14ac:dyDescent="0.3">
      <c r="A7" t="s">
        <v>2</v>
      </c>
      <c r="C7">
        <v>4</v>
      </c>
    </row>
    <row r="8" spans="1:4" x14ac:dyDescent="0.3">
      <c r="A8" t="s">
        <v>15</v>
      </c>
      <c r="C8" s="2">
        <v>0.25</v>
      </c>
    </row>
    <row r="9" spans="1:4" x14ac:dyDescent="0.3">
      <c r="A9" t="s">
        <v>5</v>
      </c>
      <c r="C9" s="3">
        <f>C3*C8</f>
        <v>7500</v>
      </c>
    </row>
    <row r="10" spans="1:4" x14ac:dyDescent="0.3">
      <c r="C10" s="3"/>
    </row>
    <row r="11" spans="1:4" x14ac:dyDescent="0.3">
      <c r="A11" t="s">
        <v>16</v>
      </c>
      <c r="C11" s="4">
        <v>0.2</v>
      </c>
    </row>
    <row r="12" spans="1:4" x14ac:dyDescent="0.3">
      <c r="A12" t="s">
        <v>17</v>
      </c>
      <c r="C12" s="2">
        <v>0.1</v>
      </c>
    </row>
    <row r="13" spans="1:4" x14ac:dyDescent="0.3">
      <c r="A13" t="s">
        <v>18</v>
      </c>
      <c r="C13" s="3">
        <f>C3*C12</f>
        <v>3000</v>
      </c>
      <c r="D13">
        <f>C13/C11</f>
        <v>15000</v>
      </c>
    </row>
    <row r="15" spans="1:4" x14ac:dyDescent="0.3">
      <c r="A15" t="s">
        <v>19</v>
      </c>
      <c r="C15" s="4">
        <v>3</v>
      </c>
    </row>
    <row r="16" spans="1:4" x14ac:dyDescent="0.3">
      <c r="A16" t="s">
        <v>17</v>
      </c>
      <c r="C16" s="2">
        <v>0.15</v>
      </c>
    </row>
    <row r="17" spans="1:6" x14ac:dyDescent="0.3">
      <c r="A17" t="s">
        <v>18</v>
      </c>
      <c r="C17" s="3">
        <f>C3*C16</f>
        <v>4500</v>
      </c>
      <c r="D17">
        <f>C17/C15</f>
        <v>1500</v>
      </c>
    </row>
    <row r="19" spans="1:6" x14ac:dyDescent="0.3">
      <c r="A19" t="s">
        <v>3</v>
      </c>
      <c r="C19">
        <v>3</v>
      </c>
    </row>
    <row r="20" spans="1:6" x14ac:dyDescent="0.3">
      <c r="A20" t="s">
        <v>4</v>
      </c>
      <c r="C20" s="2">
        <v>0.5</v>
      </c>
    </row>
    <row r="21" spans="1:6" x14ac:dyDescent="0.3">
      <c r="C21" s="3">
        <f>C3*C20</f>
        <v>15000</v>
      </c>
    </row>
    <row r="25" spans="1:6" x14ac:dyDescent="0.3">
      <c r="C25" t="s">
        <v>7</v>
      </c>
      <c r="D25" t="s">
        <v>26</v>
      </c>
    </row>
    <row r="26" spans="1:6" x14ac:dyDescent="0.3">
      <c r="A26" t="s">
        <v>20</v>
      </c>
      <c r="C26">
        <v>0.4</v>
      </c>
      <c r="D26">
        <v>802</v>
      </c>
    </row>
    <row r="27" spans="1:6" x14ac:dyDescent="0.3">
      <c r="A27" t="s">
        <v>21</v>
      </c>
      <c r="C27">
        <v>0.06</v>
      </c>
      <c r="D27">
        <v>127</v>
      </c>
    </row>
    <row r="28" spans="1:6" x14ac:dyDescent="0.3">
      <c r="A28" t="s">
        <v>27</v>
      </c>
      <c r="C28">
        <v>25</v>
      </c>
    </row>
    <row r="29" spans="1:6" x14ac:dyDescent="0.3">
      <c r="A29" t="s">
        <v>28</v>
      </c>
      <c r="C29">
        <v>5</v>
      </c>
    </row>
    <row r="31" spans="1:6" x14ac:dyDescent="0.3">
      <c r="A31" t="s">
        <v>29</v>
      </c>
      <c r="C31" s="2">
        <v>0.5</v>
      </c>
      <c r="F3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4095-553E-4C43-9055-4D0F72CE8164}">
  <dimension ref="B3:J14"/>
  <sheetViews>
    <sheetView topLeftCell="A3" workbookViewId="0">
      <selection activeCell="F7" sqref="F7"/>
    </sheetView>
  </sheetViews>
  <sheetFormatPr baseColWidth="10" defaultRowHeight="14.4" x14ac:dyDescent="0.3"/>
  <cols>
    <col min="2" max="2" width="31.21875" bestFit="1" customWidth="1"/>
    <col min="6" max="6" width="14" customWidth="1"/>
    <col min="8" max="8" width="13.21875" customWidth="1"/>
    <col min="9" max="9" width="15" customWidth="1"/>
  </cols>
  <sheetData>
    <row r="3" spans="2:10" ht="28.8" x14ac:dyDescent="0.3">
      <c r="B3" t="s">
        <v>42</v>
      </c>
      <c r="C3" t="s">
        <v>6</v>
      </c>
      <c r="D3" t="s">
        <v>10</v>
      </c>
      <c r="E3" t="s">
        <v>11</v>
      </c>
      <c r="F3" t="s">
        <v>13</v>
      </c>
      <c r="G3" t="s">
        <v>8</v>
      </c>
      <c r="H3" s="7" t="s">
        <v>41</v>
      </c>
      <c r="I3" s="7" t="s">
        <v>40</v>
      </c>
      <c r="J3" t="s">
        <v>12</v>
      </c>
    </row>
    <row r="4" spans="2:10" x14ac:dyDescent="0.3">
      <c r="B4" t="s">
        <v>31</v>
      </c>
      <c r="C4" s="8">
        <v>0</v>
      </c>
      <c r="D4">
        <v>5</v>
      </c>
      <c r="E4">
        <v>7.5</v>
      </c>
      <c r="F4">
        <v>5</v>
      </c>
      <c r="G4">
        <v>7.5</v>
      </c>
      <c r="H4">
        <v>5</v>
      </c>
      <c r="I4">
        <v>7.5</v>
      </c>
      <c r="J4">
        <v>5</v>
      </c>
    </row>
    <row r="5" spans="2:10" x14ac:dyDescent="0.3">
      <c r="B5" t="s">
        <v>36</v>
      </c>
      <c r="C5">
        <v>10</v>
      </c>
      <c r="D5">
        <v>5</v>
      </c>
      <c r="E5">
        <v>10</v>
      </c>
      <c r="F5">
        <v>5</v>
      </c>
      <c r="G5">
        <v>7.5</v>
      </c>
      <c r="H5">
        <v>2.5</v>
      </c>
      <c r="I5">
        <v>2.5</v>
      </c>
      <c r="J5">
        <v>5</v>
      </c>
    </row>
    <row r="6" spans="2:10" x14ac:dyDescent="0.3">
      <c r="B6" t="s">
        <v>37</v>
      </c>
      <c r="C6">
        <v>10</v>
      </c>
      <c r="D6">
        <v>2.5</v>
      </c>
      <c r="E6">
        <v>2.5</v>
      </c>
      <c r="F6">
        <v>5</v>
      </c>
      <c r="G6">
        <v>7.5</v>
      </c>
      <c r="H6">
        <v>2.5</v>
      </c>
      <c r="I6">
        <v>2.5</v>
      </c>
      <c r="J6">
        <v>2.5</v>
      </c>
    </row>
    <row r="7" spans="2:10" x14ac:dyDescent="0.3">
      <c r="B7" t="s">
        <v>32</v>
      </c>
      <c r="C7" s="8">
        <v>0</v>
      </c>
      <c r="D7">
        <v>10</v>
      </c>
      <c r="E7">
        <v>10</v>
      </c>
      <c r="F7">
        <v>10</v>
      </c>
      <c r="G7">
        <v>10</v>
      </c>
      <c r="H7" s="8">
        <v>0</v>
      </c>
      <c r="I7">
        <v>5</v>
      </c>
      <c r="J7">
        <v>10</v>
      </c>
    </row>
    <row r="8" spans="2:10" x14ac:dyDescent="0.3">
      <c r="B8" t="s">
        <v>33</v>
      </c>
      <c r="C8">
        <v>10</v>
      </c>
      <c r="D8">
        <v>2.5</v>
      </c>
      <c r="E8">
        <v>7.5</v>
      </c>
      <c r="F8">
        <v>5</v>
      </c>
      <c r="G8">
        <v>10</v>
      </c>
      <c r="H8">
        <v>7.5</v>
      </c>
      <c r="I8">
        <v>7.5</v>
      </c>
      <c r="J8">
        <v>5</v>
      </c>
    </row>
    <row r="9" spans="2:10" x14ac:dyDescent="0.3">
      <c r="B9" t="s">
        <v>35</v>
      </c>
      <c r="C9">
        <v>10</v>
      </c>
      <c r="D9">
        <v>7.5</v>
      </c>
      <c r="E9">
        <v>7.5</v>
      </c>
      <c r="F9">
        <v>5</v>
      </c>
      <c r="G9">
        <v>10</v>
      </c>
      <c r="H9">
        <v>2.5</v>
      </c>
      <c r="I9">
        <v>2.5</v>
      </c>
      <c r="J9">
        <v>5</v>
      </c>
    </row>
    <row r="10" spans="2:10" x14ac:dyDescent="0.3">
      <c r="B10" t="s">
        <v>34</v>
      </c>
      <c r="C10">
        <v>10</v>
      </c>
      <c r="D10">
        <v>10</v>
      </c>
      <c r="E10">
        <v>10</v>
      </c>
      <c r="F10">
        <v>10</v>
      </c>
      <c r="G10">
        <v>10</v>
      </c>
      <c r="H10">
        <v>7.5</v>
      </c>
      <c r="I10">
        <v>2.5</v>
      </c>
      <c r="J10">
        <v>7.5</v>
      </c>
    </row>
    <row r="11" spans="2:10" x14ac:dyDescent="0.3">
      <c r="B11" t="s">
        <v>38</v>
      </c>
      <c r="C11">
        <v>10</v>
      </c>
      <c r="D11">
        <v>7.5</v>
      </c>
      <c r="E11">
        <v>7.5</v>
      </c>
      <c r="F11">
        <v>2.5</v>
      </c>
      <c r="G11">
        <v>5</v>
      </c>
      <c r="H11">
        <v>5</v>
      </c>
      <c r="I11">
        <v>5</v>
      </c>
      <c r="J11">
        <v>2.5</v>
      </c>
    </row>
    <row r="12" spans="2:10" x14ac:dyDescent="0.3">
      <c r="B12" t="s">
        <v>39</v>
      </c>
      <c r="C12">
        <v>10</v>
      </c>
      <c r="D12">
        <v>7.5</v>
      </c>
      <c r="E12">
        <v>7.5</v>
      </c>
      <c r="F12">
        <v>2.5</v>
      </c>
      <c r="G12">
        <v>5</v>
      </c>
      <c r="H12">
        <v>5</v>
      </c>
      <c r="I12">
        <v>5</v>
      </c>
      <c r="J12">
        <v>2.5</v>
      </c>
    </row>
    <row r="13" spans="2:10" x14ac:dyDescent="0.3">
      <c r="B13" t="s">
        <v>43</v>
      </c>
      <c r="C13">
        <v>10</v>
      </c>
      <c r="D13">
        <v>2.5</v>
      </c>
      <c r="E13">
        <v>5</v>
      </c>
      <c r="F13">
        <v>2.5</v>
      </c>
      <c r="G13">
        <v>10</v>
      </c>
      <c r="H13">
        <v>2.5</v>
      </c>
      <c r="I13">
        <v>5</v>
      </c>
      <c r="J13">
        <v>2.5</v>
      </c>
    </row>
    <row r="14" spans="2:10" x14ac:dyDescent="0.3">
      <c r="C14" s="9">
        <v>0</v>
      </c>
      <c r="D14" s="6">
        <f>AVERAGE(D4:D13)</f>
        <v>6</v>
      </c>
      <c r="E14" s="6">
        <f>AVERAGE(E4:E13)</f>
        <v>7.5</v>
      </c>
      <c r="F14" s="6">
        <f>AVERAGE(F4:F13)</f>
        <v>5.25</v>
      </c>
      <c r="G14" s="6">
        <f>AVERAGE(G4:G13)</f>
        <v>8.25</v>
      </c>
      <c r="H14" s="9">
        <v>0</v>
      </c>
      <c r="I14" s="6">
        <f>AVERAGE(I4:I13)</f>
        <v>4.5</v>
      </c>
      <c r="J14" s="6">
        <f>AVERAGE(J4:J13)</f>
        <v>4.75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D7455E3882474097C8A654D4930CE0" ma:contentTypeVersion="11" ma:contentTypeDescription="Opprett et nytt dokument." ma:contentTypeScope="" ma:versionID="d9fbdd5986d7716e54320ac4ebbb3a73">
  <xsd:schema xmlns:xsd="http://www.w3.org/2001/XMLSchema" xmlns:xs="http://www.w3.org/2001/XMLSchema" xmlns:p="http://schemas.microsoft.com/office/2006/metadata/properties" xmlns:ns2="7377a0e8-2dcc-4523-a680-605a10852491" xmlns:ns3="551a2486-2012-42ac-a1b6-9d3b0820c721" targetNamespace="http://schemas.microsoft.com/office/2006/metadata/properties" ma:root="true" ma:fieldsID="5c1a2469dfbbab24b474ce766ae0104d" ns2:_="" ns3:_="">
    <xsd:import namespace="7377a0e8-2dcc-4523-a680-605a10852491"/>
    <xsd:import namespace="551a2486-2012-42ac-a1b6-9d3b0820c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7a0e8-2dcc-4523-a680-605a108524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a2486-2012-42ac-a1b6-9d3b0820c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34452-4696-4C9D-B3A2-5E8D949FD7DF}"/>
</file>

<file path=customXml/itemProps2.xml><?xml version="1.0" encoding="utf-8"?>
<ds:datastoreItem xmlns:ds="http://schemas.openxmlformats.org/officeDocument/2006/customXml" ds:itemID="{D2C1147E-7233-4C08-AB78-8EFAE6122A8A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51a2486-2012-42ac-a1b6-9d3b0820c721"/>
    <ds:schemaRef ds:uri="7377a0e8-2dcc-4523-a680-605a108524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F3E63F-C844-42FB-B548-EDC5E332D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Transport</vt:lpstr>
      <vt:lpstr>Grunnlag transport</vt:lpstr>
      <vt:lpstr>Helhet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Asle Hasselvold</dc:creator>
  <cp:keywords/>
  <dc:description/>
  <cp:lastModifiedBy>Geir Ivar Hildrum</cp:lastModifiedBy>
  <cp:revision/>
  <dcterms:created xsi:type="dcterms:W3CDTF">2024-06-17T06:10:57Z</dcterms:created>
  <dcterms:modified xsi:type="dcterms:W3CDTF">2024-10-10T06:45:26Z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0x0101000CD7455E3882474097C8A654D4930CE0</vt:lpwstr>
  </property>
</Properties>
</file>